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8652" activeTab="0"/>
  </bookViews>
  <sheets>
    <sheet name="EDMTemplate" sheetId="1" r:id="rId1"/>
  </sheets>
  <definedNames>
    <definedName name="_xlnm.Print_Area" localSheetId="0">'EDMTemplate'!$A$1:$J$52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<sst xmlns="http://schemas.openxmlformats.org/spreadsheetml/2006/main" count="68" uniqueCount="56">
  <si>
    <t>SINGAPORE LAND AUTHORITY</t>
  </si>
  <si>
    <t>ORGANISATION</t>
  </si>
  <si>
    <t>OBSERVER</t>
  </si>
  <si>
    <t>DATE</t>
  </si>
  <si>
    <t>TOTAL STATION</t>
  </si>
  <si>
    <t>REFLECTOR</t>
  </si>
  <si>
    <t>MODEL</t>
  </si>
  <si>
    <t>SERIAL NO.</t>
  </si>
  <si>
    <t>NO OF PRISM</t>
  </si>
  <si>
    <t>CONSTANT (mm)</t>
  </si>
  <si>
    <t>HT. ABOVE BASEPLATE (m)</t>
  </si>
  <si>
    <t>FROM</t>
  </si>
  <si>
    <t>TO</t>
  </si>
  <si>
    <t>OBSERVED SLOPE</t>
  </si>
  <si>
    <t>REDUCED HORZ.</t>
  </si>
  <si>
    <t>KNOWN HORZ.</t>
  </si>
  <si>
    <t>RESIDUAL (m)</t>
  </si>
  <si>
    <t>DISTANCE (m)</t>
  </si>
  <si>
    <t>ADDITIVE CONSTANT (m)</t>
  </si>
  <si>
    <t>=</t>
  </si>
  <si>
    <t>STD DEV OF ADDITIVE CONSTANT (m)</t>
  </si>
  <si>
    <t>SCALE (ppm)</t>
  </si>
  <si>
    <t>STD DEV OF SCALE (ppm)</t>
  </si>
  <si>
    <t>STD DEV OF SINGLE MEASURED DISTANCE (m)</t>
  </si>
  <si>
    <t>X</t>
  </si>
  <si>
    <t>STN</t>
  </si>
  <si>
    <t>Z</t>
  </si>
  <si>
    <t>dH</t>
  </si>
  <si>
    <t>Y</t>
  </si>
  <si>
    <t>Known SD</t>
  </si>
  <si>
    <t>E</t>
  </si>
  <si>
    <t>Mean =</t>
  </si>
  <si>
    <t>Ybar</t>
  </si>
  <si>
    <t>Xbar</t>
  </si>
  <si>
    <t>SXX</t>
  </si>
  <si>
    <t>SXY</t>
  </si>
  <si>
    <t>(Y-Ybar)</t>
  </si>
  <si>
    <t>(X-Xbar)</t>
  </si>
  <si>
    <t>SXY/SXX</t>
  </si>
  <si>
    <t>ppm</t>
  </si>
  <si>
    <t>a =</t>
  </si>
  <si>
    <t>s =</t>
  </si>
  <si>
    <t>Ybar-a*Xbar</t>
  </si>
  <si>
    <t>mm</t>
  </si>
  <si>
    <t>Yhat</t>
  </si>
  <si>
    <t>(Y-Yhat)</t>
  </si>
  <si>
    <t>SSE</t>
  </si>
  <si>
    <t>N</t>
  </si>
  <si>
    <t>SYY</t>
  </si>
  <si>
    <t>R^2 =</t>
  </si>
  <si>
    <t>(SYY-SSE*1000000)/SYY</t>
  </si>
  <si>
    <t>EDM CALIBRATION</t>
  </si>
  <si>
    <t>Tan Seow Hoon</t>
  </si>
  <si>
    <t>Topcon GPT 7003</t>
  </si>
  <si>
    <t>Topcon</t>
  </si>
  <si>
    <t>Singapore Land Authority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</si>
</sst>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164" fontId="0" fillId="33" borderId="0" xfId="0" applyNumberFormat="1" applyFont="1" applyFill="1" applyBorder="1" applyAlignment="1" applyProtection="1">
      <alignment horizontal="left"/>
      <protection locked="0"/>
    </xf>
    <xf numFmtId="164" fontId="0" fillId="33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NumberFormat="1" applyFont="1" applyFill="1" applyBorder="1" applyAlignment="1" applyProtection="1">
      <alignment vertical="center"/>
      <protection hidden="1"/>
    </xf>
    <xf numFmtId="0" fontId="0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3" fillId="34" borderId="0" xfId="0" applyNumberFormat="1" applyFont="1" applyFill="1" applyBorder="1" applyAlignment="1" applyProtection="1">
      <alignment/>
      <protection hidden="1"/>
    </xf>
    <xf numFmtId="0" fontId="4" fillId="34" borderId="0" xfId="0" applyNumberFormat="1" applyFont="1" applyFill="1" applyBorder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0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164" fontId="0" fillId="34" borderId="0" xfId="0" applyNumberFormat="1" applyFont="1" applyFill="1" applyBorder="1" applyAlignment="1" applyProtection="1">
      <alignment horizontal="right"/>
      <protection hidden="1"/>
    </xf>
    <xf numFmtId="164" fontId="0" fillId="34" borderId="0" xfId="0" applyNumberFormat="1" applyFont="1" applyFill="1" applyBorder="1" applyAlignment="1" applyProtection="1">
      <alignment/>
      <protection hidden="1"/>
    </xf>
    <xf numFmtId="0" fontId="0" fillId="34" borderId="0" xfId="0" applyNumberFormat="1" applyFill="1" applyBorder="1" applyAlignment="1" applyProtection="1">
      <alignment horizontal="left"/>
      <protection hidden="1"/>
    </xf>
    <xf numFmtId="166" fontId="0" fillId="34" borderId="0" xfId="0" applyNumberFormat="1" applyFont="1" applyFill="1" applyBorder="1" applyAlignment="1" applyProtection="1">
      <alignment horizontal="right"/>
      <protection hidden="1"/>
    </xf>
    <xf numFmtId="0" fontId="0" fillId="34" borderId="0" xfId="0" applyNumberFormat="1" applyFont="1" applyFill="1" applyBorder="1" applyAlignment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1" fillId="0" borderId="10" xfId="0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164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5" fontId="0" fillId="0" borderId="10" xfId="0" applyNumberFormat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right"/>
      <protection hidden="1"/>
    </xf>
    <xf numFmtId="166" fontId="40" fillId="0" borderId="0" xfId="0" applyNumberFormat="1" applyFont="1" applyAlignment="1" applyProtection="1">
      <alignment/>
      <protection hidden="1"/>
    </xf>
    <xf numFmtId="164" fontId="40" fillId="0" borderId="0" xfId="0" applyNumberFormat="1" applyFont="1" applyAlignment="1" applyProtection="1">
      <alignment/>
      <protection hidden="1"/>
    </xf>
    <xf numFmtId="167" fontId="40" fillId="0" borderId="0" xfId="0" applyNumberFormat="1" applyFont="1" applyAlignment="1" applyProtection="1">
      <alignment/>
      <protection hidden="1"/>
    </xf>
    <xf numFmtId="0" fontId="41" fillId="0" borderId="0" xfId="0" applyFont="1" applyAlignment="1" applyProtection="1" quotePrefix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 quotePrefix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165" fontId="40" fillId="0" borderId="0" xfId="0" applyNumberFormat="1" applyFont="1" applyAlignment="1" applyProtection="1">
      <alignment/>
      <protection hidden="1"/>
    </xf>
    <xf numFmtId="165" fontId="0" fillId="34" borderId="10" xfId="55" applyNumberFormat="1" applyFont="1" applyFill="1" applyBorder="1" applyAlignment="1" applyProtection="1">
      <alignment horizontal="right"/>
      <protection hidden="1"/>
    </xf>
    <xf numFmtId="164" fontId="0" fillId="34" borderId="10" xfId="55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 locked="0"/>
    </xf>
    <xf numFmtId="14" fontId="0" fillId="33" borderId="0" xfId="0" applyNumberFormat="1" applyFill="1" applyBorder="1" applyAlignment="1" applyProtection="1">
      <alignment horizontal="left"/>
      <protection locked="0"/>
    </xf>
    <xf numFmtId="0" fontId="2" fillId="34" borderId="0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2" width="9.140625" style="20" customWidth="1"/>
    <col min="13" max="13" width="10.7109375" style="20" customWidth="1"/>
    <col min="14" max="14" width="10.421875" style="20" customWidth="1"/>
    <col min="15" max="18" width="9.140625" style="20" customWidth="1"/>
    <col min="19" max="19" width="9.57421875" style="20" bestFit="1" customWidth="1"/>
    <col min="20" max="16384" width="9.140625" style="20" customWidth="1"/>
  </cols>
  <sheetData>
    <row r="1" spans="1:10" ht="12.75">
      <c r="A1" s="4"/>
      <c r="B1" s="5"/>
      <c r="C1" s="5"/>
      <c r="D1" s="5"/>
      <c r="E1" s="5"/>
      <c r="F1" s="5"/>
      <c r="G1" s="6"/>
      <c r="H1" s="44"/>
      <c r="I1" s="6"/>
      <c r="J1" s="4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10"/>
    </row>
    <row r="3" spans="1:10" ht="15">
      <c r="A3" s="5"/>
      <c r="B3" s="5"/>
      <c r="C3" s="7" t="s">
        <v>0</v>
      </c>
      <c r="D3" s="7"/>
      <c r="E3" s="7"/>
      <c r="F3" s="8"/>
      <c r="G3" s="5"/>
      <c r="H3" s="5"/>
      <c r="I3" s="6"/>
      <c r="J3" s="45"/>
    </row>
    <row r="4" spans="1:10" ht="12.75">
      <c r="A4" s="5"/>
      <c r="B4" s="5"/>
      <c r="C4" s="9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48" t="s">
        <v>51</v>
      </c>
      <c r="D5" s="48"/>
      <c r="E5" s="48"/>
      <c r="F5" s="48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6" t="s">
        <v>1</v>
      </c>
      <c r="B7" s="5"/>
      <c r="C7" s="10"/>
      <c r="D7" s="46" t="s">
        <v>55</v>
      </c>
      <c r="E7" s="5"/>
      <c r="F7" s="5"/>
      <c r="G7" s="5"/>
      <c r="H7" s="5"/>
      <c r="I7" s="5"/>
      <c r="J7" s="5"/>
    </row>
    <row r="8" spans="1:10" ht="12.75">
      <c r="A8" s="6" t="s">
        <v>2</v>
      </c>
      <c r="B8" s="5"/>
      <c r="C8" s="10"/>
      <c r="D8" s="46" t="s">
        <v>52</v>
      </c>
      <c r="E8" s="5"/>
      <c r="F8" s="5"/>
      <c r="G8" s="5"/>
      <c r="H8" s="5"/>
      <c r="I8" s="5"/>
      <c r="J8" s="5"/>
    </row>
    <row r="9" spans="1:10" ht="12.75">
      <c r="A9" s="6" t="s">
        <v>3</v>
      </c>
      <c r="B9" s="5"/>
      <c r="C9" s="10"/>
      <c r="D9" s="47">
        <v>41288</v>
      </c>
      <c r="E9" s="5"/>
      <c r="F9" s="5"/>
      <c r="G9" s="5"/>
      <c r="H9" s="5"/>
      <c r="I9" s="5"/>
      <c r="J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L10" s="21" t="s">
        <v>25</v>
      </c>
      <c r="M10" s="22" t="s">
        <v>30</v>
      </c>
      <c r="N10" s="21" t="s">
        <v>26</v>
      </c>
    </row>
    <row r="11" spans="1:14" ht="12.75">
      <c r="A11" s="6" t="s">
        <v>4</v>
      </c>
      <c r="B11" s="5"/>
      <c r="C11" s="5"/>
      <c r="D11" s="5"/>
      <c r="E11" s="5"/>
      <c r="F11" s="6" t="s">
        <v>5</v>
      </c>
      <c r="G11" s="11"/>
      <c r="H11" s="6"/>
      <c r="I11" s="5"/>
      <c r="J11" s="5"/>
      <c r="L11" s="23">
        <v>1</v>
      </c>
      <c r="M11" s="42">
        <v>0</v>
      </c>
      <c r="N11" s="43">
        <v>26.531</v>
      </c>
    </row>
    <row r="12" spans="1:14" ht="12.75">
      <c r="A12" s="5" t="s">
        <v>6</v>
      </c>
      <c r="B12" s="5"/>
      <c r="C12" s="10"/>
      <c r="D12" s="46" t="s">
        <v>53</v>
      </c>
      <c r="E12" s="5"/>
      <c r="F12" s="5" t="s">
        <v>6</v>
      </c>
      <c r="G12" s="11"/>
      <c r="H12" s="5"/>
      <c r="I12" s="46" t="s">
        <v>54</v>
      </c>
      <c r="J12" s="5"/>
      <c r="L12" s="23">
        <v>2</v>
      </c>
      <c r="M12" s="42">
        <v>50.8279</v>
      </c>
      <c r="N12" s="43">
        <v>20.012</v>
      </c>
    </row>
    <row r="13" spans="1:14" ht="12.75">
      <c r="A13" s="5" t="s">
        <v>7</v>
      </c>
      <c r="B13" s="5"/>
      <c r="C13" s="10"/>
      <c r="D13" s="1">
        <v>390161</v>
      </c>
      <c r="E13" s="5"/>
      <c r="F13" s="5" t="s">
        <v>8</v>
      </c>
      <c r="G13" s="11"/>
      <c r="H13" s="5"/>
      <c r="I13" s="1">
        <v>2</v>
      </c>
      <c r="J13" s="5"/>
      <c r="L13" s="23">
        <v>3</v>
      </c>
      <c r="M13" s="42">
        <v>122.7894</v>
      </c>
      <c r="N13" s="43">
        <v>10.715</v>
      </c>
    </row>
    <row r="14" spans="1:14" ht="12.75">
      <c r="A14" s="5" t="s">
        <v>9</v>
      </c>
      <c r="B14" s="5"/>
      <c r="C14" s="10"/>
      <c r="D14" s="1">
        <v>0</v>
      </c>
      <c r="E14" s="5"/>
      <c r="F14" s="5" t="s">
        <v>9</v>
      </c>
      <c r="G14" s="11"/>
      <c r="H14" s="5"/>
      <c r="I14" s="1">
        <v>0</v>
      </c>
      <c r="J14" s="5"/>
      <c r="L14" s="23">
        <v>4</v>
      </c>
      <c r="M14" s="42">
        <v>215.8487</v>
      </c>
      <c r="N14" s="43">
        <v>9.183</v>
      </c>
    </row>
    <row r="15" spans="1:14" ht="12.75">
      <c r="A15" s="5" t="s">
        <v>10</v>
      </c>
      <c r="B15" s="5"/>
      <c r="C15" s="5"/>
      <c r="D15" s="2">
        <v>0.223</v>
      </c>
      <c r="E15" s="10"/>
      <c r="F15" s="5" t="s">
        <v>10</v>
      </c>
      <c r="G15" s="11"/>
      <c r="H15" s="5"/>
      <c r="I15" s="2">
        <v>0.225</v>
      </c>
      <c r="J15" s="10"/>
      <c r="L15" s="23">
        <v>5</v>
      </c>
      <c r="M15" s="42">
        <v>298.3375</v>
      </c>
      <c r="N15" s="43">
        <v>9.274</v>
      </c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L16" s="23">
        <v>6</v>
      </c>
      <c r="M16" s="42">
        <v>359.7298</v>
      </c>
      <c r="N16" s="43">
        <v>12.123</v>
      </c>
    </row>
    <row r="17" spans="1:14" ht="12.75">
      <c r="A17" s="6" t="s">
        <v>11</v>
      </c>
      <c r="B17" s="6" t="s">
        <v>12</v>
      </c>
      <c r="C17" s="6" t="s">
        <v>13</v>
      </c>
      <c r="D17" s="6"/>
      <c r="E17" s="6" t="s">
        <v>14</v>
      </c>
      <c r="F17" s="5"/>
      <c r="G17" s="6" t="s">
        <v>15</v>
      </c>
      <c r="H17" s="6"/>
      <c r="I17" s="6" t="s">
        <v>16</v>
      </c>
      <c r="J17" s="5"/>
      <c r="L17" s="23">
        <v>7</v>
      </c>
      <c r="M17" s="42">
        <v>399.9903</v>
      </c>
      <c r="N17" s="43">
        <v>17.113</v>
      </c>
    </row>
    <row r="18" spans="1:10" ht="12.75">
      <c r="A18" s="5"/>
      <c r="B18" s="5"/>
      <c r="C18" s="6" t="s">
        <v>17</v>
      </c>
      <c r="D18" s="6"/>
      <c r="E18" s="6" t="s">
        <v>17</v>
      </c>
      <c r="F18" s="5"/>
      <c r="G18" s="6" t="s">
        <v>17</v>
      </c>
      <c r="H18" s="6"/>
      <c r="I18" s="5"/>
      <c r="J18" s="5"/>
    </row>
    <row r="19" spans="1:19" ht="12.75">
      <c r="A19" s="5"/>
      <c r="B19" s="5"/>
      <c r="C19" s="12"/>
      <c r="D19" s="12"/>
      <c r="E19" s="13"/>
      <c r="F19" s="13"/>
      <c r="G19" s="13"/>
      <c r="H19" s="12"/>
      <c r="I19" s="5"/>
      <c r="J19" s="5"/>
      <c r="L19" s="24" t="s">
        <v>27</v>
      </c>
      <c r="M19" s="24" t="s">
        <v>29</v>
      </c>
      <c r="N19" s="25" t="s">
        <v>28</v>
      </c>
      <c r="O19" s="25" t="s">
        <v>24</v>
      </c>
      <c r="P19" s="25" t="s">
        <v>36</v>
      </c>
      <c r="Q19" s="25" t="s">
        <v>37</v>
      </c>
      <c r="R19" s="26" t="s">
        <v>44</v>
      </c>
      <c r="S19" s="26" t="s">
        <v>45</v>
      </c>
    </row>
    <row r="20" spans="1:19" ht="12.75">
      <c r="A20" s="10">
        <v>1</v>
      </c>
      <c r="B20" s="10">
        <v>2</v>
      </c>
      <c r="C20" s="3">
        <v>51.243</v>
      </c>
      <c r="D20" s="15"/>
      <c r="E20" s="15">
        <f>SQRT(C20^2-L20^2)</f>
        <v>50.82689996448731</v>
      </c>
      <c r="F20" s="16"/>
      <c r="G20" s="15">
        <f>M12-$M$11</f>
        <v>50.8279</v>
      </c>
      <c r="H20" s="15"/>
      <c r="I20" s="15">
        <f>S20</f>
        <v>0.0008742969729759583</v>
      </c>
      <c r="J20" s="5"/>
      <c r="L20" s="27">
        <f>(N12+$I$15)-($N$11+$D$15)</f>
        <v>-6.516999999999996</v>
      </c>
      <c r="M20" s="27">
        <f>SQRT(G20^2+L20^2)</f>
        <v>51.243991915247975</v>
      </c>
      <c r="N20" s="28">
        <f>(M20-C20)*1000</f>
        <v>0.9919152479724858</v>
      </c>
      <c r="O20" s="27">
        <f>C20/1000</f>
        <v>0.051243000000000004</v>
      </c>
      <c r="P20" s="27">
        <f aca="true" t="shared" si="0" ref="P20:P25">(N20-$N$47)</f>
        <v>0.8338078205577896</v>
      </c>
      <c r="Q20" s="27">
        <f aca="true" t="shared" si="1" ref="Q20:Q25">(O20-$O$47)</f>
        <v>-0.13884928571428576</v>
      </c>
      <c r="R20" s="28">
        <f>$P$51+$P$50*C20/1000</f>
        <v>0.11761827499652752</v>
      </c>
      <c r="S20" s="29">
        <f>(N20-R20)/1000</f>
        <v>0.0008742969729759583</v>
      </c>
    </row>
    <row r="21" spans="1:19" ht="12.75">
      <c r="A21" s="10">
        <v>1</v>
      </c>
      <c r="B21" s="10">
        <v>3</v>
      </c>
      <c r="C21" s="3">
        <v>123.801</v>
      </c>
      <c r="D21" s="15"/>
      <c r="E21" s="15">
        <f aca="true" t="shared" si="2" ref="E21:E45">SQRT(C21^2-L21^2)</f>
        <v>122.78682748975966</v>
      </c>
      <c r="F21" s="16"/>
      <c r="G21" s="15">
        <f>M13-$M$11</f>
        <v>122.7894</v>
      </c>
      <c r="H21" s="15"/>
      <c r="I21" s="15">
        <f aca="true" t="shared" si="3" ref="I21:I45">S21</f>
        <v>0.002412660228336878</v>
      </c>
      <c r="J21" s="5"/>
      <c r="L21" s="27">
        <f>(N13+$I$15)-($N$11+$D$15)</f>
        <v>-15.813999999999998</v>
      </c>
      <c r="M21" s="27">
        <f aca="true" t="shared" si="4" ref="M21:M45">SQRT(G21^2+L21^2)</f>
        <v>123.8035514367823</v>
      </c>
      <c r="N21" s="28">
        <f aca="true" t="shared" si="5" ref="N21:N45">(M21-C21)*1000</f>
        <v>2.5514367822978556</v>
      </c>
      <c r="O21" s="27">
        <f aca="true" t="shared" si="6" ref="O21:O45">C21/1000</f>
        <v>0.12380100000000001</v>
      </c>
      <c r="P21" s="27">
        <f t="shared" si="0"/>
        <v>2.3933293548831593</v>
      </c>
      <c r="Q21" s="27">
        <f t="shared" si="1"/>
        <v>-0.06629128571428576</v>
      </c>
      <c r="R21" s="28">
        <f aca="true" t="shared" si="7" ref="R21:R45">$P$51+$P$50*C21/1000</f>
        <v>0.13877655396097752</v>
      </c>
      <c r="S21" s="29">
        <f aca="true" t="shared" si="8" ref="S21:S45">(N21-R21)/1000</f>
        <v>0.002412660228336878</v>
      </c>
    </row>
    <row r="22" spans="1:19" ht="12.75">
      <c r="A22" s="10">
        <v>1</v>
      </c>
      <c r="B22" s="10">
        <v>4</v>
      </c>
      <c r="C22" s="3">
        <v>216.542</v>
      </c>
      <c r="D22" s="15"/>
      <c r="E22" s="15">
        <f t="shared" si="2"/>
        <v>215.84613512407398</v>
      </c>
      <c r="F22" s="16"/>
      <c r="G22" s="15">
        <f>M14-$M$11</f>
        <v>215.8487</v>
      </c>
      <c r="H22" s="15"/>
      <c r="I22" s="15">
        <f t="shared" si="3"/>
        <v>0.0023908134123501244</v>
      </c>
      <c r="J22" s="5"/>
      <c r="L22" s="27">
        <f>(N14+$I$15)-($N$11+$D$15)</f>
        <v>-17.345999999999997</v>
      </c>
      <c r="M22" s="27">
        <f t="shared" si="4"/>
        <v>216.54455663370993</v>
      </c>
      <c r="N22" s="28">
        <f t="shared" si="5"/>
        <v>2.5566337099292014</v>
      </c>
      <c r="O22" s="27">
        <f t="shared" si="6"/>
        <v>0.216542</v>
      </c>
      <c r="P22" s="27">
        <f t="shared" si="0"/>
        <v>2.398526282514505</v>
      </c>
      <c r="Q22" s="27">
        <f t="shared" si="1"/>
        <v>0.026449714285714243</v>
      </c>
      <c r="R22" s="28">
        <f t="shared" si="7"/>
        <v>0.16582029757907693</v>
      </c>
      <c r="S22" s="29">
        <f t="shared" si="8"/>
        <v>0.0023908134123501244</v>
      </c>
    </row>
    <row r="23" spans="1:19" ht="12.75">
      <c r="A23" s="10">
        <v>1</v>
      </c>
      <c r="B23" s="10">
        <v>5</v>
      </c>
      <c r="C23" s="3">
        <v>298.833</v>
      </c>
      <c r="D23" s="15"/>
      <c r="E23" s="15">
        <f t="shared" si="2"/>
        <v>298.3344211853537</v>
      </c>
      <c r="F23" s="16"/>
      <c r="G23" s="15">
        <f>M15-$M$11</f>
        <v>298.3375</v>
      </c>
      <c r="H23" s="15"/>
      <c r="I23" s="15">
        <f t="shared" si="3"/>
        <v>0.00288386117619445</v>
      </c>
      <c r="J23" s="5"/>
      <c r="L23" s="27">
        <f>(N15+$I$15)-($N$11+$D$15)</f>
        <v>-17.255</v>
      </c>
      <c r="M23" s="27">
        <f t="shared" si="4"/>
        <v>298.8360736779447</v>
      </c>
      <c r="N23" s="28">
        <f t="shared" si="5"/>
        <v>3.0736779446556284</v>
      </c>
      <c r="O23" s="27">
        <f t="shared" si="6"/>
        <v>0.298833</v>
      </c>
      <c r="P23" s="27">
        <f t="shared" si="0"/>
        <v>2.915570517240932</v>
      </c>
      <c r="Q23" s="27">
        <f t="shared" si="1"/>
        <v>0.10874071428571425</v>
      </c>
      <c r="R23" s="28">
        <f t="shared" si="7"/>
        <v>0.1898167684611789</v>
      </c>
      <c r="S23" s="29">
        <f t="shared" si="8"/>
        <v>0.00288386117619445</v>
      </c>
    </row>
    <row r="24" spans="1:19" ht="12.75">
      <c r="A24" s="10">
        <v>1</v>
      </c>
      <c r="B24" s="10">
        <v>6</v>
      </c>
      <c r="C24" s="3">
        <v>360.015</v>
      </c>
      <c r="D24" s="15"/>
      <c r="E24" s="15">
        <f t="shared" si="2"/>
        <v>359.7266564893405</v>
      </c>
      <c r="F24" s="16"/>
      <c r="G24" s="15">
        <f>M16-$M$11</f>
        <v>359.7298</v>
      </c>
      <c r="H24" s="15"/>
      <c r="I24" s="15">
        <f t="shared" si="3"/>
        <v>0.0029333352299142483</v>
      </c>
      <c r="J24" s="5"/>
      <c r="L24" s="27">
        <f>(N16+$I$15)-($N$11+$D$15)</f>
        <v>-14.405999999999999</v>
      </c>
      <c r="M24" s="27">
        <f t="shared" si="4"/>
        <v>360.0181409929783</v>
      </c>
      <c r="N24" s="28">
        <f t="shared" si="5"/>
        <v>3.1409929783308144</v>
      </c>
      <c r="O24" s="27">
        <f t="shared" si="6"/>
        <v>0.360015</v>
      </c>
      <c r="P24" s="27">
        <f t="shared" si="0"/>
        <v>2.982885550916118</v>
      </c>
      <c r="Q24" s="27">
        <f t="shared" si="1"/>
        <v>0.1699227142857142</v>
      </c>
      <c r="R24" s="28">
        <f t="shared" si="7"/>
        <v>0.20765774841656603</v>
      </c>
      <c r="S24" s="29">
        <f t="shared" si="8"/>
        <v>0.0029333352299142483</v>
      </c>
    </row>
    <row r="25" spans="1:19" ht="12.75">
      <c r="A25" s="10">
        <v>1</v>
      </c>
      <c r="B25" s="10">
        <v>7</v>
      </c>
      <c r="C25" s="3">
        <v>400.104</v>
      </c>
      <c r="D25" s="15"/>
      <c r="E25" s="15">
        <f t="shared" si="2"/>
        <v>399.99318714198114</v>
      </c>
      <c r="F25" s="16"/>
      <c r="G25" s="15">
        <f>M17-$M$11</f>
        <v>399.9903</v>
      </c>
      <c r="H25" s="15"/>
      <c r="I25" s="15">
        <f t="shared" si="3"/>
        <v>-0.003105690255281662</v>
      </c>
      <c r="J25" s="5"/>
      <c r="L25" s="27">
        <f>(N17+$I$15)-($N$11+$D$15)</f>
        <v>-9.415999999999997</v>
      </c>
      <c r="M25" s="27">
        <f t="shared" si="4"/>
        <v>400.10111365764783</v>
      </c>
      <c r="N25" s="28">
        <f t="shared" si="5"/>
        <v>-2.8863423521556797</v>
      </c>
      <c r="O25" s="27">
        <f t="shared" si="6"/>
        <v>0.40010399999999996</v>
      </c>
      <c r="P25" s="27">
        <f t="shared" si="0"/>
        <v>-3.044449779570376</v>
      </c>
      <c r="Q25" s="27">
        <f t="shared" si="1"/>
        <v>0.2100117142857142</v>
      </c>
      <c r="R25" s="28">
        <f t="shared" si="7"/>
        <v>0.21934790312598243</v>
      </c>
      <c r="S25" s="29">
        <f t="shared" si="8"/>
        <v>-0.003105690255281662</v>
      </c>
    </row>
    <row r="26" spans="1:19" ht="12.75">
      <c r="A26" s="10"/>
      <c r="B26" s="10"/>
      <c r="C26" s="15"/>
      <c r="D26" s="15"/>
      <c r="E26" s="15"/>
      <c r="F26" s="16"/>
      <c r="G26" s="15"/>
      <c r="H26" s="15"/>
      <c r="I26" s="15"/>
      <c r="J26" s="5"/>
      <c r="L26" s="27"/>
      <c r="M26" s="27"/>
      <c r="N26" s="28"/>
      <c r="O26" s="27"/>
      <c r="P26" s="27"/>
      <c r="Q26" s="27"/>
      <c r="R26" s="28"/>
      <c r="S26" s="29"/>
    </row>
    <row r="27" spans="1:19" ht="12.75">
      <c r="A27" s="10">
        <v>2</v>
      </c>
      <c r="B27" s="10">
        <v>3</v>
      </c>
      <c r="C27" s="3">
        <v>72.557</v>
      </c>
      <c r="D27" s="15"/>
      <c r="E27" s="15">
        <f t="shared" si="2"/>
        <v>71.95916358602287</v>
      </c>
      <c r="F27" s="16"/>
      <c r="G27" s="15">
        <f>M13-$M$12</f>
        <v>71.9615</v>
      </c>
      <c r="H27" s="15"/>
      <c r="I27" s="15">
        <f t="shared" si="3"/>
        <v>0.002193330069534525</v>
      </c>
      <c r="J27" s="5"/>
      <c r="L27" s="27">
        <f>(N13+$I$15)-($N$12+$D$15)</f>
        <v>-9.295</v>
      </c>
      <c r="M27" s="27">
        <f t="shared" si="4"/>
        <v>72.5593171636145</v>
      </c>
      <c r="N27" s="28">
        <f t="shared" si="5"/>
        <v>2.3171636144923013</v>
      </c>
      <c r="O27" s="27">
        <f t="shared" si="6"/>
        <v>0.072557</v>
      </c>
      <c r="P27" s="27">
        <f>(N27-$N$47)</f>
        <v>2.159056187077605</v>
      </c>
      <c r="Q27" s="27">
        <f>(O27-$O$47)</f>
        <v>-0.11753528571428577</v>
      </c>
      <c r="R27" s="28">
        <f t="shared" si="7"/>
        <v>0.12383354495777629</v>
      </c>
      <c r="S27" s="29">
        <f t="shared" si="8"/>
        <v>0.002193330069534525</v>
      </c>
    </row>
    <row r="28" spans="1:19" ht="12.75">
      <c r="A28" s="10">
        <v>2</v>
      </c>
      <c r="B28" s="10">
        <v>4</v>
      </c>
      <c r="C28" s="3">
        <v>165.373</v>
      </c>
      <c r="D28" s="15"/>
      <c r="E28" s="15">
        <f t="shared" si="2"/>
        <v>165.01819657237803</v>
      </c>
      <c r="F28" s="16"/>
      <c r="G28" s="15">
        <f>M14-$M$12</f>
        <v>165.0208</v>
      </c>
      <c r="H28" s="15"/>
      <c r="I28" s="15">
        <f t="shared" si="3"/>
        <v>0.002446942965277056</v>
      </c>
      <c r="J28" s="5"/>
      <c r="L28" s="27">
        <f>(N14+$I$15)-($N$12+$D$15)</f>
        <v>-10.827</v>
      </c>
      <c r="M28" s="27">
        <f t="shared" si="4"/>
        <v>165.37559784212422</v>
      </c>
      <c r="N28" s="28">
        <f t="shared" si="5"/>
        <v>2.59784212423142</v>
      </c>
      <c r="O28" s="27">
        <f t="shared" si="6"/>
        <v>0.165373</v>
      </c>
      <c r="P28" s="27">
        <f>(N28-$N$47)</f>
        <v>2.4397346968167235</v>
      </c>
      <c r="Q28" s="27">
        <f>(O28-$O$47)</f>
        <v>-0.024719285714285777</v>
      </c>
      <c r="R28" s="28">
        <f t="shared" si="7"/>
        <v>0.1508991589543637</v>
      </c>
      <c r="S28" s="29">
        <f t="shared" si="8"/>
        <v>0.002446942965277056</v>
      </c>
    </row>
    <row r="29" spans="1:19" ht="12.75">
      <c r="A29" s="10">
        <v>2</v>
      </c>
      <c r="B29" s="10">
        <v>5</v>
      </c>
      <c r="C29" s="3">
        <v>247.74</v>
      </c>
      <c r="D29" s="15"/>
      <c r="E29" s="15">
        <f t="shared" si="2"/>
        <v>247.50726434591775</v>
      </c>
      <c r="F29" s="16"/>
      <c r="G29" s="15">
        <f>M15-$M$12</f>
        <v>247.50959999999998</v>
      </c>
      <c r="H29" s="15"/>
      <c r="I29" s="15">
        <f t="shared" si="3"/>
        <v>0.002158542115627377</v>
      </c>
      <c r="J29" s="5"/>
      <c r="L29" s="27">
        <f>(N15+$I$15)-($N$12+$D$15)</f>
        <v>-10.736</v>
      </c>
      <c r="M29" s="27">
        <f t="shared" si="4"/>
        <v>247.74233345990746</v>
      </c>
      <c r="N29" s="28">
        <f t="shared" si="5"/>
        <v>2.333459907447377</v>
      </c>
      <c r="O29" s="27">
        <f t="shared" si="6"/>
        <v>0.24774000000000002</v>
      </c>
      <c r="P29" s="27">
        <f>(N29-$N$47)</f>
        <v>2.175352480032681</v>
      </c>
      <c r="Q29" s="27">
        <f>(O29-$O$47)</f>
        <v>0.05764771428571425</v>
      </c>
      <c r="R29" s="28">
        <f t="shared" si="7"/>
        <v>0.17491779182000022</v>
      </c>
      <c r="S29" s="29">
        <f t="shared" si="8"/>
        <v>0.002158542115627377</v>
      </c>
    </row>
    <row r="30" spans="1:19" ht="12.75">
      <c r="A30" s="10">
        <v>2</v>
      </c>
      <c r="B30" s="10">
        <v>6</v>
      </c>
      <c r="C30" s="3">
        <v>308.999</v>
      </c>
      <c r="D30" s="15"/>
      <c r="E30" s="15">
        <f t="shared" si="2"/>
        <v>308.89832830884666</v>
      </c>
      <c r="F30" s="16"/>
      <c r="G30" s="15">
        <f>M16-$M$12</f>
        <v>308.9019</v>
      </c>
      <c r="H30" s="15"/>
      <c r="I30" s="15">
        <f t="shared" si="3"/>
        <v>0.003377746286590001</v>
      </c>
      <c r="J30" s="5"/>
      <c r="L30" s="27">
        <f>(N16+$I$15)-($N$12+$D$15)</f>
        <v>-7.8870000000000005</v>
      </c>
      <c r="M30" s="27">
        <f t="shared" si="4"/>
        <v>309.002570527512</v>
      </c>
      <c r="N30" s="28">
        <f t="shared" si="5"/>
        <v>3.5705275119539692</v>
      </c>
      <c r="O30" s="27">
        <f t="shared" si="6"/>
        <v>0.308999</v>
      </c>
      <c r="P30" s="27">
        <f>(N30-$N$47)</f>
        <v>3.412420084539273</v>
      </c>
      <c r="Q30" s="27">
        <f>(O30-$O$47)</f>
        <v>0.11890671428571425</v>
      </c>
      <c r="R30" s="28">
        <f t="shared" si="7"/>
        <v>0.19278122536396838</v>
      </c>
      <c r="S30" s="29">
        <f t="shared" si="8"/>
        <v>0.003377746286590001</v>
      </c>
    </row>
    <row r="31" spans="1:19" ht="12.75">
      <c r="A31" s="10">
        <v>2</v>
      </c>
      <c r="B31" s="10">
        <v>7</v>
      </c>
      <c r="C31" s="3">
        <v>349.178</v>
      </c>
      <c r="D31" s="15"/>
      <c r="E31" s="15">
        <f t="shared" si="2"/>
        <v>349.1659821274117</v>
      </c>
      <c r="F31" s="16"/>
      <c r="G31" s="15">
        <f>M17-$M$12</f>
        <v>349.1624</v>
      </c>
      <c r="H31" s="15"/>
      <c r="I31" s="15">
        <f t="shared" si="3"/>
        <v>-0.0037865017466930423</v>
      </c>
      <c r="J31" s="5"/>
      <c r="L31" s="27">
        <f>(N17+$I$15)-($N$12+$D$15)</f>
        <v>-2.8969999999999985</v>
      </c>
      <c r="M31" s="27">
        <f>SQRT(G31^2+L31^2)</f>
        <v>349.17441799587783</v>
      </c>
      <c r="N31" s="28">
        <f t="shared" si="5"/>
        <v>-3.582004122165472</v>
      </c>
      <c r="O31" s="27">
        <f t="shared" si="6"/>
        <v>0.349178</v>
      </c>
      <c r="P31" s="27">
        <f>(N31-$N$47)</f>
        <v>-3.7401115495801682</v>
      </c>
      <c r="Q31" s="27">
        <f>(O31-$O$47)</f>
        <v>0.15908571428571422</v>
      </c>
      <c r="R31" s="28">
        <f t="shared" si="7"/>
        <v>0.20449762452757042</v>
      </c>
      <c r="S31" s="29">
        <f t="shared" si="8"/>
        <v>-0.0037865017466930423</v>
      </c>
    </row>
    <row r="32" spans="1:19" ht="12.75">
      <c r="A32" s="10"/>
      <c r="B32" s="10"/>
      <c r="C32" s="15"/>
      <c r="D32" s="15"/>
      <c r="E32" s="15"/>
      <c r="F32" s="16"/>
      <c r="G32" s="15"/>
      <c r="H32" s="15"/>
      <c r="I32" s="15"/>
      <c r="J32" s="5"/>
      <c r="L32" s="27"/>
      <c r="M32" s="27"/>
      <c r="N32" s="28"/>
      <c r="O32" s="27"/>
      <c r="P32" s="27"/>
      <c r="Q32" s="27"/>
      <c r="R32" s="28"/>
      <c r="S32" s="29"/>
    </row>
    <row r="33" spans="1:19" ht="12.75">
      <c r="A33" s="10">
        <v>3</v>
      </c>
      <c r="B33" s="10">
        <v>4</v>
      </c>
      <c r="C33" s="3">
        <v>93.071</v>
      </c>
      <c r="D33" s="15"/>
      <c r="E33" s="15">
        <f t="shared" si="2"/>
        <v>93.0584232673217</v>
      </c>
      <c r="F33" s="16"/>
      <c r="G33" s="15">
        <f>M14-$M$13</f>
        <v>93.05930000000001</v>
      </c>
      <c r="H33" s="15"/>
      <c r="I33" s="15">
        <f t="shared" si="3"/>
        <v>0.0007467986752102661</v>
      </c>
      <c r="J33" s="5"/>
      <c r="L33" s="27">
        <f>(N14+$I$15)-($N$13+$D$15)</f>
        <v>-1.5300000000000011</v>
      </c>
      <c r="M33" s="27">
        <f t="shared" si="4"/>
        <v>93.07187661420609</v>
      </c>
      <c r="N33" s="28">
        <f t="shared" si="5"/>
        <v>0.8766142060920856</v>
      </c>
      <c r="O33" s="27">
        <f t="shared" si="6"/>
        <v>0.093071</v>
      </c>
      <c r="P33" s="27">
        <f>(N33-$N$47)</f>
        <v>0.7185067786773894</v>
      </c>
      <c r="Q33" s="27">
        <f>(O33-$O$47)</f>
        <v>-0.09702128571428577</v>
      </c>
      <c r="R33" s="28">
        <f t="shared" si="7"/>
        <v>0.1298155308818195</v>
      </c>
      <c r="S33" s="29">
        <f t="shared" si="8"/>
        <v>0.0007467986752102661</v>
      </c>
    </row>
    <row r="34" spans="1:19" ht="12.75">
      <c r="A34" s="10">
        <v>3</v>
      </c>
      <c r="B34" s="10">
        <v>5</v>
      </c>
      <c r="C34" s="3">
        <v>175.554</v>
      </c>
      <c r="D34" s="15"/>
      <c r="E34" s="15">
        <f t="shared" si="2"/>
        <v>175.54810222557234</v>
      </c>
      <c r="F34" s="16"/>
      <c r="G34" s="15">
        <f>M15-$M$13</f>
        <v>175.54809999999998</v>
      </c>
      <c r="H34" s="15"/>
      <c r="I34" s="15">
        <f t="shared" si="3"/>
        <v>-0.0001560934875430484</v>
      </c>
      <c r="J34" s="5"/>
      <c r="L34" s="27">
        <f>(N15+$I$15)-($N$13+$D$15)</f>
        <v>-1.4390000000000018</v>
      </c>
      <c r="M34" s="27">
        <f t="shared" si="4"/>
        <v>175.5539977745024</v>
      </c>
      <c r="N34" s="28">
        <f t="shared" si="5"/>
        <v>-0.0022254976101976354</v>
      </c>
      <c r="O34" s="27">
        <f t="shared" si="6"/>
        <v>0.17555400000000002</v>
      </c>
      <c r="P34" s="27">
        <f>(N34-$N$47)</f>
        <v>-0.1603329250248938</v>
      </c>
      <c r="Q34" s="27">
        <f>(O34-$O$47)</f>
        <v>-0.014538285714285754</v>
      </c>
      <c r="R34" s="28">
        <f t="shared" si="7"/>
        <v>0.15386798993285078</v>
      </c>
      <c r="S34" s="29">
        <f t="shared" si="8"/>
        <v>-0.0001560934875430484</v>
      </c>
    </row>
    <row r="35" spans="1:19" ht="12.75">
      <c r="A35" s="10">
        <v>3</v>
      </c>
      <c r="B35" s="10">
        <v>6</v>
      </c>
      <c r="C35" s="3">
        <v>236.943</v>
      </c>
      <c r="D35" s="15"/>
      <c r="E35" s="15">
        <f t="shared" si="2"/>
        <v>236.93880465006148</v>
      </c>
      <c r="F35" s="16"/>
      <c r="G35" s="15">
        <f>M16-$M$13</f>
        <v>236.9404</v>
      </c>
      <c r="H35" s="15"/>
      <c r="I35" s="15">
        <f t="shared" si="3"/>
        <v>0.0014235523590510615</v>
      </c>
      <c r="J35" s="5"/>
      <c r="L35" s="27">
        <f>(N16+$I$15)-($N$13+$D$15)</f>
        <v>1.4099999999999984</v>
      </c>
      <c r="M35" s="27">
        <f t="shared" si="4"/>
        <v>236.9445953216912</v>
      </c>
      <c r="N35" s="28">
        <f t="shared" si="5"/>
        <v>1.5953216911839263</v>
      </c>
      <c r="O35" s="27">
        <f t="shared" si="6"/>
        <v>0.23694300000000001</v>
      </c>
      <c r="P35" s="27">
        <f>(N35-$N$47)</f>
        <v>1.4372142637692302</v>
      </c>
      <c r="Q35" s="27">
        <f>(O35-$O$47)</f>
        <v>0.046850714285714246</v>
      </c>
      <c r="R35" s="28">
        <f t="shared" si="7"/>
        <v>0.17176933213286488</v>
      </c>
      <c r="S35" s="29">
        <f t="shared" si="8"/>
        <v>0.0014235523590510615</v>
      </c>
    </row>
    <row r="36" spans="1:19" ht="12.75">
      <c r="A36" s="10">
        <v>3</v>
      </c>
      <c r="B36" s="10">
        <v>7</v>
      </c>
      <c r="C36" s="3">
        <v>277.28</v>
      </c>
      <c r="D36" s="15"/>
      <c r="E36" s="15">
        <f t="shared" si="2"/>
        <v>277.2061298023548</v>
      </c>
      <c r="F36" s="16"/>
      <c r="G36" s="15">
        <f>M17-$M$13</f>
        <v>277.2009</v>
      </c>
      <c r="H36" s="15"/>
      <c r="I36" s="15">
        <f t="shared" si="3"/>
        <v>-0.005411940861151803</v>
      </c>
      <c r="J36" s="5"/>
      <c r="L36" s="27">
        <f>(N17+$I$15)-($N$13+$D$15)</f>
        <v>6.4</v>
      </c>
      <c r="M36" s="27">
        <f t="shared" si="4"/>
        <v>277.2747715909437</v>
      </c>
      <c r="N36" s="28">
        <f t="shared" si="5"/>
        <v>-5.228409056257988</v>
      </c>
      <c r="O36" s="27">
        <f t="shared" si="6"/>
        <v>0.27727999999999997</v>
      </c>
      <c r="P36" s="27">
        <f>(N36-$N$47)</f>
        <v>-5.3865164836726835</v>
      </c>
      <c r="Q36" s="27">
        <f>(O36-$O$47)</f>
        <v>0.0871877142857142</v>
      </c>
      <c r="R36" s="28">
        <f t="shared" si="7"/>
        <v>0.183531804893815</v>
      </c>
      <c r="S36" s="29">
        <f t="shared" si="8"/>
        <v>-0.005411940861151803</v>
      </c>
    </row>
    <row r="37" spans="1:19" ht="12.75">
      <c r="A37" s="10"/>
      <c r="B37" s="10"/>
      <c r="C37" s="15"/>
      <c r="D37" s="15"/>
      <c r="E37" s="15"/>
      <c r="F37" s="16"/>
      <c r="G37" s="15"/>
      <c r="H37" s="15"/>
      <c r="I37" s="15"/>
      <c r="J37" s="5"/>
      <c r="L37" s="27"/>
      <c r="M37" s="27"/>
      <c r="N37" s="28"/>
      <c r="O37" s="27"/>
      <c r="P37" s="27"/>
      <c r="Q37" s="27"/>
      <c r="R37" s="28"/>
      <c r="S37" s="29"/>
    </row>
    <row r="38" spans="1:19" ht="12.75">
      <c r="A38" s="10">
        <v>4</v>
      </c>
      <c r="B38" s="10">
        <v>5</v>
      </c>
      <c r="C38" s="3">
        <v>82.488</v>
      </c>
      <c r="D38" s="15"/>
      <c r="E38" s="15">
        <f t="shared" si="2"/>
        <v>82.48794757417595</v>
      </c>
      <c r="F38" s="16"/>
      <c r="G38" s="15">
        <f>M15-$M$14</f>
        <v>82.48879999999997</v>
      </c>
      <c r="H38" s="15"/>
      <c r="I38" s="15">
        <f t="shared" si="3"/>
        <v>0.0007256958075864013</v>
      </c>
      <c r="J38" s="5"/>
      <c r="L38" s="27">
        <f>(N15+$I$15)-($N$14+$D$15)</f>
        <v>0.0929999999999982</v>
      </c>
      <c r="M38" s="27">
        <f t="shared" si="4"/>
        <v>82.48885242528226</v>
      </c>
      <c r="N38" s="28">
        <f t="shared" si="5"/>
        <v>0.8524252822610379</v>
      </c>
      <c r="O38" s="27">
        <f t="shared" si="6"/>
        <v>0.082488</v>
      </c>
      <c r="P38" s="27">
        <f>(N38-$N$47)</f>
        <v>0.6943178548463417</v>
      </c>
      <c r="Q38" s="27">
        <f>(O38-$O$47)</f>
        <v>-0.10760428571428576</v>
      </c>
      <c r="R38" s="28">
        <f t="shared" si="7"/>
        <v>0.12672947467463663</v>
      </c>
      <c r="S38" s="29">
        <f t="shared" si="8"/>
        <v>0.0007256958075864013</v>
      </c>
    </row>
    <row r="39" spans="1:19" ht="12.75">
      <c r="A39" s="10">
        <v>4</v>
      </c>
      <c r="B39" s="10">
        <v>6</v>
      </c>
      <c r="C39" s="3">
        <v>143.91</v>
      </c>
      <c r="D39" s="15"/>
      <c r="E39" s="15">
        <f t="shared" si="2"/>
        <v>143.87992471502062</v>
      </c>
      <c r="F39" s="16"/>
      <c r="G39" s="15">
        <f>M16-$M$14</f>
        <v>143.8811</v>
      </c>
      <c r="H39" s="15"/>
      <c r="I39" s="15">
        <f t="shared" si="3"/>
        <v>0.001030398922538763</v>
      </c>
      <c r="J39" s="5"/>
      <c r="L39" s="27">
        <f>(N16+$I$15)-($N$14+$D$15)</f>
        <v>2.9419999999999984</v>
      </c>
      <c r="M39" s="27">
        <f t="shared" si="4"/>
        <v>143.91117503936238</v>
      </c>
      <c r="N39" s="28">
        <f t="shared" si="5"/>
        <v>1.1750393623799482</v>
      </c>
      <c r="O39" s="27">
        <f t="shared" si="6"/>
        <v>0.14391</v>
      </c>
      <c r="P39" s="27">
        <f>(N39-$N$47)</f>
        <v>1.0169319349652521</v>
      </c>
      <c r="Q39" s="27">
        <f>(O39-$O$47)</f>
        <v>-0.04618228571428576</v>
      </c>
      <c r="R39" s="28">
        <f t="shared" si="7"/>
        <v>0.1446404398411854</v>
      </c>
      <c r="S39" s="29">
        <f t="shared" si="8"/>
        <v>0.001030398922538763</v>
      </c>
    </row>
    <row r="40" spans="1:19" ht="12.75">
      <c r="A40" s="10">
        <v>4</v>
      </c>
      <c r="B40" s="10">
        <v>7</v>
      </c>
      <c r="C40" s="3">
        <v>184.317</v>
      </c>
      <c r="D40" s="15"/>
      <c r="E40" s="15">
        <f t="shared" si="2"/>
        <v>184.14624586181495</v>
      </c>
      <c r="F40" s="16"/>
      <c r="G40" s="15">
        <f>M17-$M$14</f>
        <v>184.14159999999998</v>
      </c>
      <c r="H40" s="15"/>
      <c r="I40" s="15">
        <f t="shared" si="3"/>
        <v>-0.004797981032783206</v>
      </c>
      <c r="J40" s="5"/>
      <c r="L40" s="27">
        <f>(N17+$I$15)-($N$14+$D$15)</f>
        <v>7.932</v>
      </c>
      <c r="M40" s="27">
        <f t="shared" si="4"/>
        <v>184.31235844229218</v>
      </c>
      <c r="N40" s="28">
        <f t="shared" si="5"/>
        <v>-4.641557707827815</v>
      </c>
      <c r="O40" s="27">
        <f t="shared" si="6"/>
        <v>0.184317</v>
      </c>
      <c r="P40" s="27">
        <f>(N40-$N$47)</f>
        <v>-4.799665135242511</v>
      </c>
      <c r="Q40" s="27">
        <f>(O40-$O$47)</f>
        <v>-0.0057752857142857605</v>
      </c>
      <c r="R40" s="28">
        <f t="shared" si="7"/>
        <v>0.15642332495539105</v>
      </c>
      <c r="S40" s="29">
        <f t="shared" si="8"/>
        <v>-0.004797981032783206</v>
      </c>
    </row>
    <row r="41" spans="1:19" ht="12.75">
      <c r="A41" s="10"/>
      <c r="B41" s="10"/>
      <c r="C41" s="15"/>
      <c r="D41" s="15"/>
      <c r="E41" s="15"/>
      <c r="F41" s="16"/>
      <c r="G41" s="15"/>
      <c r="H41" s="15"/>
      <c r="I41" s="15"/>
      <c r="J41" s="5"/>
      <c r="L41" s="27"/>
      <c r="M41" s="27"/>
      <c r="N41" s="28"/>
      <c r="O41" s="27"/>
      <c r="P41" s="27"/>
      <c r="Q41" s="27"/>
      <c r="R41" s="28"/>
      <c r="S41" s="29"/>
    </row>
    <row r="42" spans="1:19" ht="12.75">
      <c r="A42" s="10">
        <v>5</v>
      </c>
      <c r="B42" s="10">
        <v>6</v>
      </c>
      <c r="C42" s="3">
        <v>61.459</v>
      </c>
      <c r="D42" s="15"/>
      <c r="E42" s="15">
        <f t="shared" si="2"/>
        <v>61.39283736723691</v>
      </c>
      <c r="F42" s="16"/>
      <c r="G42" s="15">
        <f>M16-$M$15</f>
        <v>61.392300000000034</v>
      </c>
      <c r="H42" s="15"/>
      <c r="I42" s="15">
        <f t="shared" si="3"/>
        <v>-0.0006573860504817164</v>
      </c>
      <c r="J42" s="5"/>
      <c r="L42" s="27">
        <f>(N16+$I$15)-($N$15+$D$15)</f>
        <v>2.850999999999999</v>
      </c>
      <c r="M42" s="27">
        <f t="shared" si="4"/>
        <v>61.45846321126167</v>
      </c>
      <c r="N42" s="28">
        <f t="shared" si="5"/>
        <v>-0.536788738330074</v>
      </c>
      <c r="O42" s="27">
        <f t="shared" si="6"/>
        <v>0.061459</v>
      </c>
      <c r="P42" s="27">
        <f>(N42-$N$47)</f>
        <v>-0.6948961657447702</v>
      </c>
      <c r="Q42" s="27">
        <f>(O42-$O$47)</f>
        <v>-0.12863328571428578</v>
      </c>
      <c r="R42" s="28">
        <f t="shared" si="7"/>
        <v>0.12059731215164235</v>
      </c>
      <c r="S42" s="29">
        <f t="shared" si="8"/>
        <v>-0.0006573860504817164</v>
      </c>
    </row>
    <row r="43" spans="1:19" ht="12.75">
      <c r="A43" s="10">
        <v>5</v>
      </c>
      <c r="B43" s="10">
        <v>7</v>
      </c>
      <c r="C43" s="3">
        <v>101.958</v>
      </c>
      <c r="D43" s="15"/>
      <c r="E43" s="15">
        <f t="shared" si="2"/>
        <v>101.65604990850274</v>
      </c>
      <c r="F43" s="16"/>
      <c r="G43" s="15">
        <f>M17-$M$15</f>
        <v>101.65280000000001</v>
      </c>
      <c r="H43" s="15"/>
      <c r="I43" s="15">
        <f t="shared" si="3"/>
        <v>-0.003372690570282567</v>
      </c>
      <c r="J43" s="5"/>
      <c r="L43" s="27">
        <f>(N17+$I$15)-($N$15+$D$15)</f>
        <v>7.841000000000001</v>
      </c>
      <c r="M43" s="27">
        <f t="shared" si="4"/>
        <v>101.95475971645465</v>
      </c>
      <c r="N43" s="28">
        <f t="shared" si="5"/>
        <v>-3.2402835453524403</v>
      </c>
      <c r="O43" s="27">
        <f t="shared" si="6"/>
        <v>0.101958</v>
      </c>
      <c r="P43" s="27">
        <f>(N43-$N$47)</f>
        <v>-3.3983909727671366</v>
      </c>
      <c r="Q43" s="27">
        <f>(O43-$O$47)</f>
        <v>-0.08813428571428578</v>
      </c>
      <c r="R43" s="28">
        <f t="shared" si="7"/>
        <v>0.1324070249301266</v>
      </c>
      <c r="S43" s="29">
        <f t="shared" si="8"/>
        <v>-0.003372690570282567</v>
      </c>
    </row>
    <row r="44" spans="1:19" ht="12.75">
      <c r="A44" s="10"/>
      <c r="B44" s="10"/>
      <c r="C44" s="15"/>
      <c r="D44" s="15"/>
      <c r="E44" s="15"/>
      <c r="F44" s="16"/>
      <c r="G44" s="15"/>
      <c r="H44" s="15"/>
      <c r="I44" s="15"/>
      <c r="J44" s="5"/>
      <c r="L44" s="27"/>
      <c r="M44" s="27"/>
      <c r="N44" s="28"/>
      <c r="O44" s="27"/>
      <c r="P44" s="27"/>
      <c r="Q44" s="27"/>
      <c r="R44" s="28"/>
      <c r="S44" s="29"/>
    </row>
    <row r="45" spans="1:19" ht="12.75">
      <c r="A45" s="10">
        <v>6</v>
      </c>
      <c r="B45" s="10">
        <v>7</v>
      </c>
      <c r="C45" s="3">
        <v>40.573</v>
      </c>
      <c r="D45" s="15"/>
      <c r="E45" s="15">
        <f t="shared" si="2"/>
        <v>40.264727305670405</v>
      </c>
      <c r="F45" s="16"/>
      <c r="G45" s="15">
        <f>M17-$M$16</f>
        <v>40.26049999999998</v>
      </c>
      <c r="H45" s="15"/>
      <c r="I45" s="15">
        <f t="shared" si="3"/>
        <v>-0.004309690216970065</v>
      </c>
      <c r="J45" s="5"/>
      <c r="L45" s="27">
        <f>(N17+$I$15)-($N$16+$D$15)</f>
        <v>4.992000000000001</v>
      </c>
      <c r="M45" s="27">
        <f t="shared" si="4"/>
        <v>40.56880481663218</v>
      </c>
      <c r="N45" s="28">
        <f t="shared" si="5"/>
        <v>-4.195183367819766</v>
      </c>
      <c r="O45" s="27">
        <f t="shared" si="6"/>
        <v>0.040573</v>
      </c>
      <c r="P45" s="27">
        <f>(N45-$N$47)</f>
        <v>-4.353290795234462</v>
      </c>
      <c r="Q45" s="27">
        <f>(O45-$O$47)</f>
        <v>-0.14951928571428577</v>
      </c>
      <c r="R45" s="28">
        <f t="shared" si="7"/>
        <v>0.11450684915029856</v>
      </c>
      <c r="S45" s="29">
        <f t="shared" si="8"/>
        <v>-0.004309690216970065</v>
      </c>
    </row>
    <row r="46" spans="1:19" ht="12.75">
      <c r="A46" s="10"/>
      <c r="B46" s="10"/>
      <c r="C46" s="5"/>
      <c r="D46" s="5"/>
      <c r="E46" s="5"/>
      <c r="F46" s="5"/>
      <c r="G46" s="5"/>
      <c r="H46" s="5"/>
      <c r="I46" s="5"/>
      <c r="J46" s="5"/>
      <c r="L46" s="30" t="s">
        <v>47</v>
      </c>
      <c r="M46" s="30"/>
      <c r="N46" s="30" t="s">
        <v>32</v>
      </c>
      <c r="O46" s="30" t="s">
        <v>33</v>
      </c>
      <c r="P46" s="30" t="s">
        <v>34</v>
      </c>
      <c r="Q46" s="30" t="s">
        <v>35</v>
      </c>
      <c r="R46" s="31"/>
      <c r="S46" s="30" t="s">
        <v>46</v>
      </c>
    </row>
    <row r="47" spans="1:19" ht="12.75">
      <c r="A47" s="14" t="s">
        <v>18</v>
      </c>
      <c r="B47" s="10"/>
      <c r="C47" s="5"/>
      <c r="D47" s="5"/>
      <c r="E47" s="5"/>
      <c r="F47" s="5"/>
      <c r="G47" s="5"/>
      <c r="H47" s="17" t="s">
        <v>19</v>
      </c>
      <c r="I47" s="15">
        <f>P51/1000</f>
        <v>0.00010267555759837279</v>
      </c>
      <c r="J47" s="5"/>
      <c r="L47" s="32">
        <f>COUNTA(C20:C45)</f>
        <v>21</v>
      </c>
      <c r="M47" s="33" t="s">
        <v>31</v>
      </c>
      <c r="N47" s="34">
        <f>AVERAGE(N20:N45)</f>
        <v>0.15810742741469616</v>
      </c>
      <c r="O47" s="34">
        <f>AVERAGE(O20:O45)</f>
        <v>0.19009228571428577</v>
      </c>
      <c r="P47" s="35">
        <f>SUMSQ(Q20:Q45)</f>
        <v>0.2462085642702857</v>
      </c>
      <c r="Q47" s="35">
        <f>SUMPRODUCT(P20:P45,Q20:Q45)</f>
        <v>0.0717956598344417</v>
      </c>
      <c r="S47" s="36">
        <f>SUMSQ(S20:S45)</f>
        <v>0.00016695931719772503</v>
      </c>
    </row>
    <row r="48" spans="1:16" ht="12.75">
      <c r="A48" s="14" t="s">
        <v>20</v>
      </c>
      <c r="B48" s="10"/>
      <c r="C48" s="5"/>
      <c r="D48" s="5"/>
      <c r="E48" s="5"/>
      <c r="F48" s="5"/>
      <c r="G48" s="5"/>
      <c r="H48" s="9" t="s">
        <v>19</v>
      </c>
      <c r="I48" s="15">
        <f>SQRT(I51^2*(1/L47+O47^2/P47))</f>
        <v>0.0013069533839385158</v>
      </c>
      <c r="J48" s="5"/>
      <c r="L48" s="32"/>
      <c r="M48" s="32"/>
      <c r="N48" s="32"/>
      <c r="P48" s="30" t="s">
        <v>48</v>
      </c>
    </row>
    <row r="49" spans="1:16" ht="12.75">
      <c r="A49" s="14" t="s">
        <v>21</v>
      </c>
      <c r="B49" s="10"/>
      <c r="C49" s="5"/>
      <c r="D49" s="5"/>
      <c r="E49" s="5"/>
      <c r="F49" s="5"/>
      <c r="G49" s="5"/>
      <c r="H49" s="9" t="s">
        <v>19</v>
      </c>
      <c r="I49" s="18">
        <f>P50</f>
        <v>0.2916050465069323</v>
      </c>
      <c r="J49" s="5"/>
      <c r="P49" s="32">
        <f>SUMSQ(P20:P45)</f>
        <v>166.98025317445004</v>
      </c>
    </row>
    <row r="50" spans="1:19" ht="12.75">
      <c r="A50" s="14" t="s">
        <v>22</v>
      </c>
      <c r="B50" s="10"/>
      <c r="C50" s="5"/>
      <c r="D50" s="5"/>
      <c r="E50" s="5"/>
      <c r="F50" s="5"/>
      <c r="G50" s="5"/>
      <c r="H50" s="9" t="s">
        <v>19</v>
      </c>
      <c r="I50" s="18">
        <f>SQRT(I51^2/(P47/1000000))</f>
        <v>5.9741614029375505</v>
      </c>
      <c r="J50" s="5"/>
      <c r="L50" s="32"/>
      <c r="M50" s="37" t="s">
        <v>41</v>
      </c>
      <c r="N50" s="38" t="s">
        <v>38</v>
      </c>
      <c r="O50" s="39" t="s">
        <v>19</v>
      </c>
      <c r="P50" s="34">
        <f>Q47/P47</f>
        <v>0.2916050465069323</v>
      </c>
      <c r="Q50" s="32" t="s">
        <v>39</v>
      </c>
      <c r="R50" s="32"/>
      <c r="S50" s="32"/>
    </row>
    <row r="51" spans="1:19" ht="12.75">
      <c r="A51" s="14" t="s">
        <v>23</v>
      </c>
      <c r="B51" s="10"/>
      <c r="C51" s="5"/>
      <c r="D51" s="5"/>
      <c r="E51" s="5"/>
      <c r="F51" s="5"/>
      <c r="G51" s="5"/>
      <c r="H51" s="19" t="s">
        <v>19</v>
      </c>
      <c r="I51" s="15">
        <f>SQRT(S47/(L47-2))</f>
        <v>0.0029643435165464193</v>
      </c>
      <c r="J51" s="5"/>
      <c r="L51" s="32"/>
      <c r="M51" s="37" t="s">
        <v>40</v>
      </c>
      <c r="N51" s="32" t="s">
        <v>42</v>
      </c>
      <c r="O51" s="39" t="s">
        <v>19</v>
      </c>
      <c r="P51" s="34">
        <f>N47-P50*O47</f>
        <v>0.1026755575983728</v>
      </c>
      <c r="Q51" s="32" t="s">
        <v>43</v>
      </c>
      <c r="R51" s="32"/>
      <c r="S51" s="32"/>
    </row>
    <row r="52" spans="1:15" ht="12.75">
      <c r="A52" s="10"/>
      <c r="B52" s="10"/>
      <c r="C52" s="5"/>
      <c r="D52" s="5"/>
      <c r="E52" s="5"/>
      <c r="F52" s="5"/>
      <c r="G52" s="5"/>
      <c r="H52" s="5"/>
      <c r="I52" s="5"/>
      <c r="J52" s="5"/>
      <c r="O52" s="40"/>
    </row>
    <row r="53" spans="1:18" ht="12.75">
      <c r="A53" s="10"/>
      <c r="B53" s="10"/>
      <c r="C53" s="5"/>
      <c r="D53" s="5"/>
      <c r="E53" s="5"/>
      <c r="F53" s="5"/>
      <c r="G53" s="5"/>
      <c r="H53" s="5"/>
      <c r="I53" s="5"/>
      <c r="J53" s="5"/>
      <c r="M53" s="30" t="s">
        <v>49</v>
      </c>
      <c r="N53" s="32" t="s">
        <v>50</v>
      </c>
      <c r="O53" s="32"/>
      <c r="Q53" s="39" t="s">
        <v>19</v>
      </c>
      <c r="R53" s="41">
        <f>(P49-S47*1000000)/P49</f>
        <v>0.00012537995557559086</v>
      </c>
    </row>
    <row r="54" spans="1:10" ht="12.75">
      <c r="A54" s="10"/>
      <c r="B54" s="10"/>
      <c r="C54" s="5"/>
      <c r="D54" s="5"/>
      <c r="E54" s="5"/>
      <c r="F54" s="5"/>
      <c r="G54" s="5"/>
      <c r="H54" s="5"/>
      <c r="I54" s="5"/>
      <c r="J54" s="5"/>
    </row>
    <row r="55" spans="1:10" ht="12.75">
      <c r="A55" s="10"/>
      <c r="B55" s="10"/>
      <c r="C55" s="5"/>
      <c r="D55" s="5"/>
      <c r="E55" s="5"/>
      <c r="F55" s="5"/>
      <c r="G55" s="5"/>
      <c r="H55" s="5"/>
      <c r="I55" s="5"/>
      <c r="J55" s="5"/>
    </row>
    <row r="56" spans="1:10" ht="12.75">
      <c r="A56" s="10"/>
      <c r="B56" s="10"/>
      <c r="C56" s="5"/>
      <c r="D56" s="5"/>
      <c r="E56" s="5"/>
      <c r="F56" s="5"/>
      <c r="G56" s="5"/>
      <c r="H56" s="5"/>
      <c r="I56" s="5"/>
      <c r="J56" s="5"/>
    </row>
  </sheetData>
  <sheetProtection password="DCF2" sheet="1" objects="1" scenarios="1"/>
  <mergeCells count="1">
    <mergeCell ref="C5:F5"/>
  </mergeCells>
  <printOptions horizontalCentered="1" verticalCentered="1"/>
  <pageMargins left="1" right="1" top="1" bottom="1" header="0.5" footer="0.5"/>
  <pageSetup blackAndWhite="1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Yam Khoon</dc:creator>
  <cp:keywords/>
  <dc:description/>
  <cp:lastModifiedBy>Websparks</cp:lastModifiedBy>
  <cp:lastPrinted>2012-12-19T06:50:57Z</cp:lastPrinted>
  <dcterms:created xsi:type="dcterms:W3CDTF">2012-11-22T05:17:56Z</dcterms:created>
  <dcterms:modified xsi:type="dcterms:W3CDTF">2013-01-25T02:47:24Z</dcterms:modified>
  <cp:category/>
  <cp:version/>
  <cp:contentType/>
  <cp:contentStatus/>
</cp:coreProperties>
</file>